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590"/>
  </bookViews>
  <sheets>
    <sheet name="Sheet1 (2)" sheetId="2" r:id="rId1"/>
  </sheets>
  <definedNames>
    <definedName name="_xlnm._FilterDatabase" localSheetId="0" hidden="1">'Sheet1 (2)'!$A$2:$L$2</definedName>
    <definedName name="_xlnm.Print_Titles" localSheetId="0">'Sheet1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<sst xmlns="http://schemas.openxmlformats.org/spreadsheetml/2006/main" count="148" uniqueCount="54">
  <si>
    <t>广水市事业单位2025年下半年统一公开招聘面试成绩及总成绩表</t>
  </si>
  <si>
    <t>序号</t>
  </si>
  <si>
    <t>报考单位</t>
  </si>
  <si>
    <t>报考岗位</t>
  </si>
  <si>
    <t>招聘计划</t>
  </si>
  <si>
    <t>姓名</t>
  </si>
  <si>
    <t>笔试百分制成绩</t>
  </si>
  <si>
    <t>笔试总成绩</t>
  </si>
  <si>
    <t>面试百分制成绩</t>
  </si>
  <si>
    <t>面试总成绩</t>
  </si>
  <si>
    <t>总成绩</t>
  </si>
  <si>
    <t>排名</t>
  </si>
  <si>
    <t>备注</t>
  </si>
  <si>
    <t>广水市网信中心</t>
  </si>
  <si>
    <t>网络应急处置岗</t>
  </si>
  <si>
    <t>弃考</t>
  </si>
  <si>
    <t>广水市网格化管理中心（广水市社会治安综合治理中心）</t>
  </si>
  <si>
    <t>行政管理岗1</t>
  </si>
  <si>
    <t>行政管理岗2</t>
  </si>
  <si>
    <t>王耀葳</t>
  </si>
  <si>
    <t>广水市改革发展中心</t>
  </si>
  <si>
    <t>文字综合岗</t>
  </si>
  <si>
    <t>吴臻颖</t>
  </si>
  <si>
    <t>广水市电化教育馆</t>
  </si>
  <si>
    <t>电化教育技术岗1</t>
  </si>
  <si>
    <t>广水市三潭财政所</t>
  </si>
  <si>
    <t>财务管理</t>
  </si>
  <si>
    <t>广水市马坪财政所</t>
  </si>
  <si>
    <t>财务会计</t>
  </si>
  <si>
    <t>广水市不动产登记中心</t>
  </si>
  <si>
    <t>综合管理岗</t>
  </si>
  <si>
    <t>广水市骆店自然资源和规划所</t>
  </si>
  <si>
    <t>方纪鹏</t>
  </si>
  <si>
    <t>广水市城乡防洪排水服务所</t>
  </si>
  <si>
    <t>防洪排水岗</t>
  </si>
  <si>
    <t>广水市农村公路事业发展中心</t>
  </si>
  <si>
    <t>行政管理岗</t>
  </si>
  <si>
    <t>代文峰</t>
  </si>
  <si>
    <t>广水市招商信息中心</t>
  </si>
  <si>
    <t>广水市郝店镇党群服务中心</t>
  </si>
  <si>
    <t>电化教育技术岗2</t>
  </si>
  <si>
    <t>王翔宇</t>
  </si>
  <si>
    <t>免笔试</t>
  </si>
  <si>
    <t>蒲金莹</t>
  </si>
  <si>
    <t>赵孟丽</t>
  </si>
  <si>
    <t>广水市中医医院</t>
  </si>
  <si>
    <t>运营分析师</t>
  </si>
  <si>
    <t>中医临床</t>
  </si>
  <si>
    <t>西医临床</t>
  </si>
  <si>
    <t>影像诊断医师</t>
  </si>
  <si>
    <t>临床护理</t>
  </si>
  <si>
    <t>广水市疾病预防控制中心</t>
  </si>
  <si>
    <t>公共卫生与预防医学</t>
  </si>
  <si>
    <t>临床医学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</si>
</sst>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  <numFmt numFmtId="178" formatCode="0.00000_ "/>
    <numFmt numFmtId="179" formatCode="0.000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 applyNumberFormat="0" applyFont="0" applyFill="0" applyBorder="0" applyAlignment="0" applyProtection="0"/>
    <xf numFmtId="0" fontId="23" fillId="0" borderId="0"/>
  </cellStyleXfs>
  <cellXfs count="3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177" fontId="0" fillId="0" borderId="0" xfId="0" applyNumberFormat="1" applyFill="1" applyAlignment="1">
      <alignment horizontal="center" vertical="center"/>
    </xf>
    <xf numFmtId="178" fontId="0" fillId="0" borderId="0" xfId="0" applyNumberForma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9" fontId="3" fillId="2" borderId="1" xfId="0" applyNumberFormat="1" applyFont="1" applyFill="1" applyBorder="1" applyAlignment="1">
      <alignment horizontal="center" vertical="center"/>
    </xf>
    <xf numFmtId="178" fontId="0" fillId="2" borderId="1" xfId="0" applyNumberForma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79" fontId="3" fillId="3" borderId="1" xfId="0" applyNumberFormat="1" applyFont="1" applyFill="1" applyBorder="1" applyAlignment="1">
      <alignment horizontal="center" vertical="center"/>
    </xf>
    <xf numFmtId="178" fontId="0" fillId="3" borderId="1" xfId="0" applyNumberFormat="1" applyFill="1" applyBorder="1" applyAlignment="1">
      <alignment horizontal="center" vertical="center"/>
    </xf>
    <xf numFmtId="176" fontId="1" fillId="3" borderId="1" xfId="0" applyNumberFormat="1" applyFont="1" applyFill="1" applyBorder="1" applyAlignment="1">
      <alignment horizontal="center" vertical="center"/>
    </xf>
    <xf numFmtId="179" fontId="0" fillId="2" borderId="1" xfId="0" applyNumberForma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7" fontId="0" fillId="0" borderId="1" xfId="0" applyNumberFormat="1" applyFill="1" applyBorder="1">
      <alignment vertical="center"/>
    </xf>
    <xf numFmtId="178" fontId="0" fillId="0" borderId="1" xfId="0" applyNumberFormat="1" applyFill="1" applyBorder="1" applyAlignment="1">
      <alignment horizontal="center" vertical="center"/>
    </xf>
    <xf numFmtId="177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77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177" fontId="1" fillId="3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3"/>
  <sheetViews>
    <sheetView tabSelected="1" zoomScale="90" zoomScaleNormal="90" workbookViewId="0">
      <pane ySplit="2" topLeftCell="A14" activePane="bottomLeft" state="frozen"/>
      <selection/>
      <selection pane="bottomLeft" activeCell="F20" sqref="F20"/>
    </sheetView>
  </sheetViews>
  <sheetFormatPr defaultColWidth="9" defaultRowHeight="14.5"/>
  <cols>
    <col min="1" max="1" width="4.25454545454545" style="3" customWidth="1"/>
    <col min="2" max="2" width="32.2545454545455" style="3" customWidth="1"/>
    <col min="3" max="3" width="18.7545454545455" style="3" customWidth="1"/>
    <col min="4" max="4" width="5.25454545454545" style="4" customWidth="1"/>
    <col min="5" max="5" width="12" style="3" customWidth="1"/>
    <col min="6" max="6" width="14" style="3" customWidth="1"/>
    <col min="7" max="7" width="12.8727272727273" style="3" customWidth="1"/>
    <col min="8" max="8" width="15.0909090909091" style="5" customWidth="1"/>
    <col min="9" max="9" width="10.9090909090909" style="6" customWidth="1"/>
    <col min="10" max="10" width="10.5454545454545" style="7" customWidth="1"/>
    <col min="11" max="11" width="5.63636363636364" style="4" customWidth="1"/>
    <col min="12" max="12" width="18.7545454545455" style="4" customWidth="1"/>
    <col min="13" max="16384" width="9" style="8"/>
  </cols>
  <sheetData>
    <row r="1" ht="38" customHeight="1" spans="1:12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29"/>
    </row>
    <row r="2" ht="24.95" customHeight="1" spans="1:12">
      <c r="A2" s="11" t="s">
        <v>1</v>
      </c>
      <c r="B2" s="11" t="s">
        <v>2</v>
      </c>
      <c r="C2" s="11" t="s">
        <v>3</v>
      </c>
      <c r="D2" s="12" t="s">
        <v>4</v>
      </c>
      <c r="E2" s="11" t="s">
        <v>5</v>
      </c>
      <c r="F2" s="11" t="s">
        <v>6</v>
      </c>
      <c r="G2" s="20" t="s">
        <v>7</v>
      </c>
      <c r="H2" s="21" t="s">
        <v>8</v>
      </c>
      <c r="I2" s="30" t="s">
        <v>9</v>
      </c>
      <c r="J2" s="31" t="s">
        <v>10</v>
      </c>
      <c r="K2" s="20" t="s">
        <v>11</v>
      </c>
      <c r="L2" s="20" t="s">
        <v>12</v>
      </c>
    </row>
    <row r="3" s="1" customFormat="1" ht="20" customHeight="1" spans="1:12">
      <c r="A3" s="13">
        <v>1</v>
      </c>
      <c r="B3" s="14" t="s">
        <v>13</v>
      </c>
      <c r="C3" s="15" t="s">
        <v>14</v>
      </c>
      <c r="D3" s="14">
        <v>1</v>
      </c>
      <c r="E3" s="15" t="str">
        <f>"杨家兴"</f>
        <v>杨家兴</v>
      </c>
      <c r="F3" s="22">
        <v>82.7633</v>
      </c>
      <c r="G3" s="23">
        <f>SUM(F3*0.4)</f>
        <v>33.10532</v>
      </c>
      <c r="H3" s="24">
        <v>83</v>
      </c>
      <c r="I3" s="32">
        <f>H3*0.6</f>
        <v>49.8</v>
      </c>
      <c r="J3" s="23">
        <f>G3+I3</f>
        <v>82.90532</v>
      </c>
      <c r="K3" s="33">
        <v>1</v>
      </c>
      <c r="L3" s="33"/>
    </row>
    <row r="4" s="1" customFormat="1" ht="20" customHeight="1" spans="1:12">
      <c r="A4" s="16">
        <v>2</v>
      </c>
      <c r="B4" s="14" t="s">
        <v>13</v>
      </c>
      <c r="C4" s="15" t="s">
        <v>14</v>
      </c>
      <c r="D4" s="14">
        <v>1</v>
      </c>
      <c r="E4" s="15" t="str">
        <f>"罗乘龙"</f>
        <v>罗乘龙</v>
      </c>
      <c r="F4" s="22">
        <v>83.36</v>
      </c>
      <c r="G4" s="23">
        <f>SUM(F4*0.4)</f>
        <v>33.344</v>
      </c>
      <c r="H4" s="24">
        <v>82.5</v>
      </c>
      <c r="I4" s="32">
        <f>H4*0.6</f>
        <v>49.5</v>
      </c>
      <c r="J4" s="23">
        <f>G4+I4</f>
        <v>82.844</v>
      </c>
      <c r="K4" s="33">
        <v>2</v>
      </c>
      <c r="L4" s="33"/>
    </row>
    <row r="5" s="1" customFormat="1" ht="20" customHeight="1" spans="1:12">
      <c r="A5" s="13">
        <v>3</v>
      </c>
      <c r="B5" s="14" t="s">
        <v>13</v>
      </c>
      <c r="C5" s="15" t="s">
        <v>14</v>
      </c>
      <c r="D5" s="14">
        <v>1</v>
      </c>
      <c r="E5" s="15" t="str">
        <f>"田扬"</f>
        <v>田扬</v>
      </c>
      <c r="F5" s="22">
        <v>82.2167</v>
      </c>
      <c r="G5" s="23">
        <f>SUM(F5*0.4)</f>
        <v>32.88668</v>
      </c>
      <c r="H5" s="24"/>
      <c r="I5" s="32"/>
      <c r="J5" s="23">
        <f>G5+I5</f>
        <v>32.88668</v>
      </c>
      <c r="K5" s="33">
        <v>3</v>
      </c>
      <c r="L5" s="33" t="s">
        <v>15</v>
      </c>
    </row>
    <row r="6" s="2" customFormat="1" ht="30" customHeight="1" spans="1:12">
      <c r="A6" s="17">
        <v>4</v>
      </c>
      <c r="B6" s="18" t="s">
        <v>16</v>
      </c>
      <c r="C6" s="19" t="s">
        <v>17</v>
      </c>
      <c r="D6" s="18">
        <v>1</v>
      </c>
      <c r="E6" s="19" t="str">
        <f>"唐逸凡"</f>
        <v>唐逸凡</v>
      </c>
      <c r="F6" s="25">
        <v>83.02</v>
      </c>
      <c r="G6" s="26">
        <f>SUM(F6*0.4)</f>
        <v>33.208</v>
      </c>
      <c r="H6" s="27">
        <v>80.02</v>
      </c>
      <c r="I6" s="34">
        <f>H6*0.6</f>
        <v>48.012</v>
      </c>
      <c r="J6" s="26">
        <f>G6+I6</f>
        <v>81.22</v>
      </c>
      <c r="K6" s="35">
        <v>1</v>
      </c>
      <c r="L6" s="35"/>
    </row>
    <row r="7" s="2" customFormat="1" ht="30" customHeight="1" spans="1:12">
      <c r="A7" s="17">
        <v>5</v>
      </c>
      <c r="B7" s="18" t="s">
        <v>16</v>
      </c>
      <c r="C7" s="19" t="s">
        <v>17</v>
      </c>
      <c r="D7" s="18">
        <v>1</v>
      </c>
      <c r="E7" s="19" t="str">
        <f>"张毕富"</f>
        <v>张毕富</v>
      </c>
      <c r="F7" s="25">
        <v>78.93</v>
      </c>
      <c r="G7" s="26">
        <f>SUM(F7*0.4)</f>
        <v>31.572</v>
      </c>
      <c r="H7" s="27">
        <v>82.4</v>
      </c>
      <c r="I7" s="34">
        <f>H7*0.6</f>
        <v>49.44</v>
      </c>
      <c r="J7" s="26">
        <f>G7+I7</f>
        <v>81.012</v>
      </c>
      <c r="K7" s="35">
        <v>2</v>
      </c>
      <c r="L7" s="35"/>
    </row>
    <row r="8" s="2" customFormat="1" ht="30" customHeight="1" spans="1:12">
      <c r="A8" s="17">
        <v>6</v>
      </c>
      <c r="B8" s="18" t="s">
        <v>16</v>
      </c>
      <c r="C8" s="19" t="s">
        <v>17</v>
      </c>
      <c r="D8" s="18">
        <v>1</v>
      </c>
      <c r="E8" s="19" t="str">
        <f>"邱成莉"</f>
        <v>邱成莉</v>
      </c>
      <c r="F8" s="25">
        <v>80.8467</v>
      </c>
      <c r="G8" s="26">
        <f>SUM(F8*0.4)</f>
        <v>32.33868</v>
      </c>
      <c r="H8" s="27">
        <v>79.26</v>
      </c>
      <c r="I8" s="34">
        <f>H8*0.6</f>
        <v>47.556</v>
      </c>
      <c r="J8" s="26">
        <f>G8+I8</f>
        <v>79.89468</v>
      </c>
      <c r="K8" s="35">
        <v>3</v>
      </c>
      <c r="L8" s="35"/>
    </row>
    <row r="9" s="1" customFormat="1" ht="30" customHeight="1" spans="1:12">
      <c r="A9" s="13">
        <v>7</v>
      </c>
      <c r="B9" s="14" t="s">
        <v>16</v>
      </c>
      <c r="C9" s="15" t="s">
        <v>18</v>
      </c>
      <c r="D9" s="14">
        <v>1</v>
      </c>
      <c r="E9" s="15" t="str">
        <f>"沈昊天"</f>
        <v>沈昊天</v>
      </c>
      <c r="F9" s="22">
        <v>85.3933</v>
      </c>
      <c r="G9" s="23">
        <f t="shared" ref="G9:G17" si="0">SUM(F9*0.4)</f>
        <v>34.15732</v>
      </c>
      <c r="H9" s="24">
        <v>82.9</v>
      </c>
      <c r="I9" s="32">
        <f>H9*0.6</f>
        <v>49.74</v>
      </c>
      <c r="J9" s="23">
        <f t="shared" ref="J9:J17" si="1">G9+I9</f>
        <v>83.89732</v>
      </c>
      <c r="K9" s="33">
        <v>1</v>
      </c>
      <c r="L9" s="33"/>
    </row>
    <row r="10" s="1" customFormat="1" ht="30" customHeight="1" spans="1:12">
      <c r="A10" s="13">
        <v>8</v>
      </c>
      <c r="B10" s="14" t="s">
        <v>16</v>
      </c>
      <c r="C10" s="15" t="s">
        <v>18</v>
      </c>
      <c r="D10" s="14">
        <v>1</v>
      </c>
      <c r="E10" s="15" t="str">
        <f>"王航天"</f>
        <v>王航天</v>
      </c>
      <c r="F10" s="22">
        <v>85.3767</v>
      </c>
      <c r="G10" s="23">
        <f t="shared" si="0"/>
        <v>34.15068</v>
      </c>
      <c r="H10" s="24">
        <v>80.54</v>
      </c>
      <c r="I10" s="32">
        <f>H10*0.6</f>
        <v>48.324</v>
      </c>
      <c r="J10" s="23">
        <f t="shared" si="1"/>
        <v>82.47468</v>
      </c>
      <c r="K10" s="33">
        <v>2</v>
      </c>
      <c r="L10" s="33"/>
    </row>
    <row r="11" s="1" customFormat="1" ht="30" customHeight="1" spans="1:12">
      <c r="A11" s="13">
        <v>9</v>
      </c>
      <c r="B11" s="14" t="s">
        <v>16</v>
      </c>
      <c r="C11" s="15" t="s">
        <v>18</v>
      </c>
      <c r="D11" s="14">
        <v>1</v>
      </c>
      <c r="E11" s="15" t="s">
        <v>19</v>
      </c>
      <c r="F11" s="22">
        <v>85</v>
      </c>
      <c r="G11" s="23">
        <f t="shared" si="0"/>
        <v>34</v>
      </c>
      <c r="H11" s="24">
        <v>79.98</v>
      </c>
      <c r="I11" s="32">
        <f>H11*0.6</f>
        <v>47.988</v>
      </c>
      <c r="J11" s="23">
        <f t="shared" si="1"/>
        <v>81.988</v>
      </c>
      <c r="K11" s="33">
        <v>3</v>
      </c>
      <c r="L11" s="33"/>
    </row>
    <row r="12" s="2" customFormat="1" ht="20" customHeight="1" spans="1:12">
      <c r="A12" s="17">
        <v>10</v>
      </c>
      <c r="B12" s="18" t="s">
        <v>20</v>
      </c>
      <c r="C12" s="19" t="s">
        <v>21</v>
      </c>
      <c r="D12" s="18">
        <v>1</v>
      </c>
      <c r="E12" s="19" t="str">
        <f>"刘宇"</f>
        <v>刘宇</v>
      </c>
      <c r="F12" s="25">
        <v>83.9167</v>
      </c>
      <c r="G12" s="26">
        <f t="shared" si="0"/>
        <v>33.56668</v>
      </c>
      <c r="H12" s="27">
        <v>81.5</v>
      </c>
      <c r="I12" s="34">
        <f>H12*0.6</f>
        <v>48.9</v>
      </c>
      <c r="J12" s="26">
        <f t="shared" si="1"/>
        <v>82.46668</v>
      </c>
      <c r="K12" s="35">
        <v>1</v>
      </c>
      <c r="L12" s="35"/>
    </row>
    <row r="13" s="2" customFormat="1" ht="20" customHeight="1" spans="1:12">
      <c r="A13" s="17">
        <v>11</v>
      </c>
      <c r="B13" s="18" t="s">
        <v>20</v>
      </c>
      <c r="C13" s="19" t="s">
        <v>21</v>
      </c>
      <c r="D13" s="18">
        <v>1</v>
      </c>
      <c r="E13" s="19" t="str">
        <f>"代雨露"</f>
        <v>代雨露</v>
      </c>
      <c r="F13" s="25">
        <v>82.6967</v>
      </c>
      <c r="G13" s="26">
        <f t="shared" si="0"/>
        <v>33.07868</v>
      </c>
      <c r="H13" s="27">
        <v>79.82</v>
      </c>
      <c r="I13" s="34">
        <f>H13*0.6</f>
        <v>47.892</v>
      </c>
      <c r="J13" s="26">
        <f t="shared" si="1"/>
        <v>80.97068</v>
      </c>
      <c r="K13" s="35">
        <v>2</v>
      </c>
      <c r="L13" s="35"/>
    </row>
    <row r="14" s="2" customFormat="1" ht="20" customHeight="1" spans="1:12">
      <c r="A14" s="17">
        <v>12</v>
      </c>
      <c r="B14" s="18" t="s">
        <v>20</v>
      </c>
      <c r="C14" s="19" t="s">
        <v>21</v>
      </c>
      <c r="D14" s="18">
        <v>1</v>
      </c>
      <c r="E14" s="19" t="s">
        <v>22</v>
      </c>
      <c r="F14" s="25">
        <v>82.9133</v>
      </c>
      <c r="G14" s="26">
        <f t="shared" si="0"/>
        <v>33.16532</v>
      </c>
      <c r="H14" s="27"/>
      <c r="I14" s="34"/>
      <c r="J14" s="26">
        <f t="shared" si="1"/>
        <v>33.16532</v>
      </c>
      <c r="K14" s="35">
        <v>3</v>
      </c>
      <c r="L14" s="35" t="s">
        <v>15</v>
      </c>
    </row>
    <row r="15" s="1" customFormat="1" ht="20" customHeight="1" spans="1:12">
      <c r="A15" s="13">
        <v>13</v>
      </c>
      <c r="B15" s="14" t="s">
        <v>23</v>
      </c>
      <c r="C15" s="15" t="s">
        <v>24</v>
      </c>
      <c r="D15" s="14">
        <v>1</v>
      </c>
      <c r="E15" s="15" t="str">
        <f>"祝鸣畅"</f>
        <v>祝鸣畅</v>
      </c>
      <c r="F15" s="22">
        <v>79.64</v>
      </c>
      <c r="G15" s="23">
        <f t="shared" si="0"/>
        <v>31.856</v>
      </c>
      <c r="H15" s="24">
        <v>79.18</v>
      </c>
      <c r="I15" s="32">
        <f>H15*0.6</f>
        <v>47.508</v>
      </c>
      <c r="J15" s="23">
        <f t="shared" si="1"/>
        <v>79.364</v>
      </c>
      <c r="K15" s="33">
        <v>1</v>
      </c>
      <c r="L15" s="33"/>
    </row>
    <row r="16" s="1" customFormat="1" ht="20" customHeight="1" spans="1:12">
      <c r="A16" s="13">
        <v>14</v>
      </c>
      <c r="B16" s="14" t="s">
        <v>23</v>
      </c>
      <c r="C16" s="15" t="s">
        <v>24</v>
      </c>
      <c r="D16" s="14">
        <v>1</v>
      </c>
      <c r="E16" s="15" t="str">
        <f>"李萌"</f>
        <v>李萌</v>
      </c>
      <c r="F16" s="22">
        <v>78.4467</v>
      </c>
      <c r="G16" s="23">
        <f t="shared" si="0"/>
        <v>31.37868</v>
      </c>
      <c r="H16" s="24">
        <v>69.56</v>
      </c>
      <c r="I16" s="32">
        <f>H16*0.6</f>
        <v>41.736</v>
      </c>
      <c r="J16" s="23">
        <f t="shared" si="1"/>
        <v>73.11468</v>
      </c>
      <c r="K16" s="33">
        <v>2</v>
      </c>
      <c r="L16" s="33"/>
    </row>
    <row r="17" s="1" customFormat="1" ht="20" customHeight="1" spans="1:12">
      <c r="A17" s="13">
        <v>15</v>
      </c>
      <c r="B17" s="14" t="s">
        <v>23</v>
      </c>
      <c r="C17" s="15" t="s">
        <v>24</v>
      </c>
      <c r="D17" s="14">
        <v>1</v>
      </c>
      <c r="E17" s="15" t="str">
        <f>"王礼松"</f>
        <v>王礼松</v>
      </c>
      <c r="F17" s="22">
        <v>80.3567</v>
      </c>
      <c r="G17" s="23">
        <f t="shared" si="0"/>
        <v>32.14268</v>
      </c>
      <c r="H17" s="24">
        <v>53.48</v>
      </c>
      <c r="I17" s="32">
        <f>H17*0.6</f>
        <v>32.088</v>
      </c>
      <c r="J17" s="23">
        <f t="shared" si="1"/>
        <v>64.23068</v>
      </c>
      <c r="K17" s="33">
        <v>3</v>
      </c>
      <c r="L17" s="33"/>
    </row>
    <row r="18" s="2" customFormat="1" ht="20" customHeight="1" spans="1:12">
      <c r="A18" s="17">
        <v>16</v>
      </c>
      <c r="B18" s="18" t="s">
        <v>25</v>
      </c>
      <c r="C18" s="19" t="s">
        <v>26</v>
      </c>
      <c r="D18" s="18">
        <v>1</v>
      </c>
      <c r="E18" s="19" t="str">
        <f>"李岚虎"</f>
        <v>李岚虎</v>
      </c>
      <c r="F18" s="25">
        <v>83.9167</v>
      </c>
      <c r="G18" s="26">
        <f>SUM(F18*0.4)</f>
        <v>33.56668</v>
      </c>
      <c r="H18" s="27">
        <v>79.58</v>
      </c>
      <c r="I18" s="34">
        <f>H18*0.6</f>
        <v>47.748</v>
      </c>
      <c r="J18" s="26">
        <f>G18+I18</f>
        <v>81.31468</v>
      </c>
      <c r="K18" s="35">
        <v>1</v>
      </c>
      <c r="L18" s="35"/>
    </row>
    <row r="19" s="2" customFormat="1" ht="20" customHeight="1" spans="1:12">
      <c r="A19" s="17">
        <v>17</v>
      </c>
      <c r="B19" s="18" t="s">
        <v>25</v>
      </c>
      <c r="C19" s="19" t="s">
        <v>26</v>
      </c>
      <c r="D19" s="18">
        <v>1</v>
      </c>
      <c r="E19" s="19" t="str">
        <f>"陈欣语"</f>
        <v>陈欣语</v>
      </c>
      <c r="F19" s="25">
        <v>84.18</v>
      </c>
      <c r="G19" s="26">
        <f>SUM(F19*0.4)</f>
        <v>33.672</v>
      </c>
      <c r="H19" s="27">
        <v>79</v>
      </c>
      <c r="I19" s="34">
        <f>H19*0.6</f>
        <v>47.4</v>
      </c>
      <c r="J19" s="26">
        <f>G19+I19</f>
        <v>81.072</v>
      </c>
      <c r="K19" s="35">
        <v>2</v>
      </c>
      <c r="L19" s="35"/>
    </row>
    <row r="20" s="2" customFormat="1" ht="20" customHeight="1" spans="1:12">
      <c r="A20" s="17">
        <v>18</v>
      </c>
      <c r="B20" s="18" t="s">
        <v>25</v>
      </c>
      <c r="C20" s="19" t="s">
        <v>26</v>
      </c>
      <c r="D20" s="18">
        <v>1</v>
      </c>
      <c r="E20" s="19" t="str">
        <f>"柴昒昕"</f>
        <v>柴昒昕</v>
      </c>
      <c r="F20" s="25">
        <v>83.2933</v>
      </c>
      <c r="G20" s="26">
        <f>SUM(F20*0.4)</f>
        <v>33.31732</v>
      </c>
      <c r="H20" s="27">
        <v>78.84</v>
      </c>
      <c r="I20" s="34">
        <f t="shared" ref="I20:I33" si="2">H20*0.6</f>
        <v>47.304</v>
      </c>
      <c r="J20" s="26">
        <f>G20+I20</f>
        <v>80.62132</v>
      </c>
      <c r="K20" s="35">
        <v>3</v>
      </c>
      <c r="L20" s="35"/>
    </row>
    <row r="21" s="1" customFormat="1" ht="20" customHeight="1" spans="1:12">
      <c r="A21" s="13">
        <v>19</v>
      </c>
      <c r="B21" s="14" t="s">
        <v>27</v>
      </c>
      <c r="C21" s="15" t="s">
        <v>28</v>
      </c>
      <c r="D21" s="14">
        <v>1</v>
      </c>
      <c r="E21" s="15" t="str">
        <f>"陈雨桐"</f>
        <v>陈雨桐</v>
      </c>
      <c r="F21" s="22">
        <v>82.2733</v>
      </c>
      <c r="G21" s="23">
        <f>SUM(F21*0.4)</f>
        <v>32.90932</v>
      </c>
      <c r="H21" s="24">
        <v>81.36</v>
      </c>
      <c r="I21" s="32">
        <f t="shared" si="2"/>
        <v>48.816</v>
      </c>
      <c r="J21" s="23">
        <f>G21+I21</f>
        <v>81.72532</v>
      </c>
      <c r="K21" s="33">
        <v>1</v>
      </c>
      <c r="L21" s="33"/>
    </row>
    <row r="22" s="1" customFormat="1" ht="20" customHeight="1" spans="1:12">
      <c r="A22" s="13">
        <v>20</v>
      </c>
      <c r="B22" s="14" t="s">
        <v>27</v>
      </c>
      <c r="C22" s="15" t="s">
        <v>28</v>
      </c>
      <c r="D22" s="14">
        <v>1</v>
      </c>
      <c r="E22" s="15" t="str">
        <f>"彭双霜"</f>
        <v>彭双霜</v>
      </c>
      <c r="F22" s="22">
        <v>82.0467</v>
      </c>
      <c r="G22" s="23">
        <f>SUM(F22*0.4)</f>
        <v>32.81868</v>
      </c>
      <c r="H22" s="24">
        <v>80.2</v>
      </c>
      <c r="I22" s="32">
        <f t="shared" si="2"/>
        <v>48.12</v>
      </c>
      <c r="J22" s="23">
        <f>G22+I22</f>
        <v>80.93868</v>
      </c>
      <c r="K22" s="33">
        <v>2</v>
      </c>
      <c r="L22" s="33"/>
    </row>
    <row r="23" s="1" customFormat="1" ht="20" customHeight="1" spans="1:12">
      <c r="A23" s="13">
        <v>21</v>
      </c>
      <c r="B23" s="14" t="s">
        <v>27</v>
      </c>
      <c r="C23" s="15" t="s">
        <v>28</v>
      </c>
      <c r="D23" s="14">
        <v>1</v>
      </c>
      <c r="E23" s="15" t="str">
        <f>"杨欣怡"</f>
        <v>杨欣怡</v>
      </c>
      <c r="F23" s="22">
        <v>81.8767</v>
      </c>
      <c r="G23" s="23">
        <f>SUM(F23*0.4)</f>
        <v>32.75068</v>
      </c>
      <c r="H23" s="24">
        <v>72.48</v>
      </c>
      <c r="I23" s="32">
        <f t="shared" si="2"/>
        <v>43.488</v>
      </c>
      <c r="J23" s="23">
        <f>G23+I23</f>
        <v>76.23868</v>
      </c>
      <c r="K23" s="33">
        <v>3</v>
      </c>
      <c r="L23" s="33"/>
    </row>
    <row r="24" s="2" customFormat="1" ht="20" customHeight="1" spans="1:12">
      <c r="A24" s="17">
        <v>22</v>
      </c>
      <c r="B24" s="18" t="s">
        <v>29</v>
      </c>
      <c r="C24" s="19" t="s">
        <v>30</v>
      </c>
      <c r="D24" s="18">
        <v>1</v>
      </c>
      <c r="E24" s="19" t="str">
        <f>"杨晨晨"</f>
        <v>杨晨晨</v>
      </c>
      <c r="F24" s="25">
        <v>84.0733</v>
      </c>
      <c r="G24" s="26">
        <f>SUM(F24*0.4)</f>
        <v>33.62932</v>
      </c>
      <c r="H24" s="27">
        <v>81.84</v>
      </c>
      <c r="I24" s="34">
        <f t="shared" si="2"/>
        <v>49.104</v>
      </c>
      <c r="J24" s="26">
        <f>G24+I24</f>
        <v>82.73332</v>
      </c>
      <c r="K24" s="35">
        <v>1</v>
      </c>
      <c r="L24" s="35"/>
    </row>
    <row r="25" s="2" customFormat="1" ht="20" customHeight="1" spans="1:12">
      <c r="A25" s="17">
        <v>23</v>
      </c>
      <c r="B25" s="18" t="s">
        <v>29</v>
      </c>
      <c r="C25" s="19" t="s">
        <v>30</v>
      </c>
      <c r="D25" s="18">
        <v>1</v>
      </c>
      <c r="E25" s="19" t="str">
        <f>"曹思成"</f>
        <v>曹思成</v>
      </c>
      <c r="F25" s="25">
        <v>82.57</v>
      </c>
      <c r="G25" s="26">
        <f>SUM(F25*0.4)</f>
        <v>33.028</v>
      </c>
      <c r="H25" s="27">
        <v>81.6</v>
      </c>
      <c r="I25" s="34">
        <f t="shared" si="2"/>
        <v>48.96</v>
      </c>
      <c r="J25" s="26">
        <f>G25+I25</f>
        <v>81.988</v>
      </c>
      <c r="K25" s="35">
        <v>2</v>
      </c>
      <c r="L25" s="35"/>
    </row>
    <row r="26" s="2" customFormat="1" ht="20" customHeight="1" spans="1:12">
      <c r="A26" s="17">
        <v>24</v>
      </c>
      <c r="B26" s="18" t="s">
        <v>29</v>
      </c>
      <c r="C26" s="19" t="s">
        <v>30</v>
      </c>
      <c r="D26" s="18">
        <v>1</v>
      </c>
      <c r="E26" s="19" t="str">
        <f>"马勇超"</f>
        <v>马勇超</v>
      </c>
      <c r="F26" s="25">
        <v>84.4367</v>
      </c>
      <c r="G26" s="26">
        <f>SUM(F26*0.4)</f>
        <v>33.77468</v>
      </c>
      <c r="H26" s="27">
        <v>79.3</v>
      </c>
      <c r="I26" s="34">
        <f t="shared" si="2"/>
        <v>47.58</v>
      </c>
      <c r="J26" s="26">
        <f>G26+I26</f>
        <v>81.35468</v>
      </c>
      <c r="K26" s="35">
        <v>3</v>
      </c>
      <c r="L26" s="35"/>
    </row>
    <row r="27" s="1" customFormat="1" ht="20" customHeight="1" spans="1:12">
      <c r="A27" s="13">
        <v>25</v>
      </c>
      <c r="B27" s="14" t="s">
        <v>31</v>
      </c>
      <c r="C27" s="15" t="s">
        <v>30</v>
      </c>
      <c r="D27" s="14">
        <v>1</v>
      </c>
      <c r="E27" s="13" t="s">
        <v>32</v>
      </c>
      <c r="F27" s="28">
        <v>81.8</v>
      </c>
      <c r="G27" s="23">
        <f>SUM(F27*0.4)</f>
        <v>32.72</v>
      </c>
      <c r="H27" s="24">
        <v>80.04</v>
      </c>
      <c r="I27" s="32">
        <f>H27*0.6</f>
        <v>48.024</v>
      </c>
      <c r="J27" s="23">
        <f>G27+I27</f>
        <v>80.744</v>
      </c>
      <c r="K27" s="33">
        <v>1</v>
      </c>
      <c r="L27" s="33"/>
    </row>
    <row r="28" s="1" customFormat="1" ht="20" customHeight="1" spans="1:12">
      <c r="A28" s="13">
        <v>26</v>
      </c>
      <c r="B28" s="14" t="s">
        <v>31</v>
      </c>
      <c r="C28" s="15" t="s">
        <v>30</v>
      </c>
      <c r="D28" s="14">
        <v>1</v>
      </c>
      <c r="E28" s="15" t="str">
        <f>"徐锐翔"</f>
        <v>徐锐翔</v>
      </c>
      <c r="F28" s="22">
        <v>82.5366666666667</v>
      </c>
      <c r="G28" s="23">
        <f>SUM(F28*0.4)</f>
        <v>33.0146666666667</v>
      </c>
      <c r="H28" s="24">
        <v>79</v>
      </c>
      <c r="I28" s="32">
        <f>H28*0.6</f>
        <v>47.4</v>
      </c>
      <c r="J28" s="23">
        <f>G28+I28</f>
        <v>80.4146666666667</v>
      </c>
      <c r="K28" s="33">
        <v>2</v>
      </c>
      <c r="L28" s="33"/>
    </row>
    <row r="29" s="1" customFormat="1" ht="20" customHeight="1" spans="1:12">
      <c r="A29" s="13">
        <v>27</v>
      </c>
      <c r="B29" s="14" t="s">
        <v>31</v>
      </c>
      <c r="C29" s="15" t="s">
        <v>30</v>
      </c>
      <c r="D29" s="14">
        <v>1</v>
      </c>
      <c r="E29" s="15" t="str">
        <f>"李玉杰"</f>
        <v>李玉杰</v>
      </c>
      <c r="F29" s="22">
        <v>83.12</v>
      </c>
      <c r="G29" s="23">
        <f>SUM(F29*0.4)</f>
        <v>33.248</v>
      </c>
      <c r="H29" s="24">
        <v>77.04</v>
      </c>
      <c r="I29" s="32">
        <f>H29*0.6</f>
        <v>46.224</v>
      </c>
      <c r="J29" s="23">
        <f>G29+I29</f>
        <v>79.472</v>
      </c>
      <c r="K29" s="33">
        <v>3</v>
      </c>
      <c r="L29" s="33"/>
    </row>
    <row r="30" s="2" customFormat="1" ht="20" customHeight="1" spans="1:12">
      <c r="A30" s="17">
        <v>28</v>
      </c>
      <c r="B30" s="18" t="s">
        <v>33</v>
      </c>
      <c r="C30" s="19" t="s">
        <v>34</v>
      </c>
      <c r="D30" s="18">
        <v>1</v>
      </c>
      <c r="E30" s="19" t="str">
        <f>"陈秋锦"</f>
        <v>陈秋锦</v>
      </c>
      <c r="F30" s="25">
        <v>84.3633</v>
      </c>
      <c r="G30" s="26">
        <f>SUM(F30*0.4)</f>
        <v>33.74532</v>
      </c>
      <c r="H30" s="27">
        <v>81.06</v>
      </c>
      <c r="I30" s="34">
        <f>H30*0.6</f>
        <v>48.636</v>
      </c>
      <c r="J30" s="26">
        <f>G30+I30</f>
        <v>82.38132</v>
      </c>
      <c r="K30" s="35">
        <v>1</v>
      </c>
      <c r="L30" s="35"/>
    </row>
    <row r="31" s="2" customFormat="1" ht="20" customHeight="1" spans="1:12">
      <c r="A31" s="17">
        <v>29</v>
      </c>
      <c r="B31" s="18" t="s">
        <v>33</v>
      </c>
      <c r="C31" s="19" t="s">
        <v>34</v>
      </c>
      <c r="D31" s="18">
        <v>1</v>
      </c>
      <c r="E31" s="19" t="str">
        <f>"何玉廷"</f>
        <v>何玉廷</v>
      </c>
      <c r="F31" s="25">
        <v>82.9133</v>
      </c>
      <c r="G31" s="26">
        <f>SUM(F31*0.4)</f>
        <v>33.16532</v>
      </c>
      <c r="H31" s="27">
        <v>78.68</v>
      </c>
      <c r="I31" s="34">
        <f>H31*0.6</f>
        <v>47.208</v>
      </c>
      <c r="J31" s="26">
        <f>G31+I31</f>
        <v>80.37332</v>
      </c>
      <c r="K31" s="35">
        <v>2</v>
      </c>
      <c r="L31" s="35"/>
    </row>
    <row r="32" s="2" customFormat="1" ht="20" customHeight="1" spans="1:12">
      <c r="A32" s="17">
        <v>30</v>
      </c>
      <c r="B32" s="18" t="s">
        <v>33</v>
      </c>
      <c r="C32" s="19" t="s">
        <v>34</v>
      </c>
      <c r="D32" s="18">
        <v>1</v>
      </c>
      <c r="E32" s="19" t="str">
        <f>"苏玉竹"</f>
        <v>苏玉竹</v>
      </c>
      <c r="F32" s="25">
        <v>82.2067</v>
      </c>
      <c r="G32" s="26">
        <f>SUM(F32*0.4)</f>
        <v>32.88268</v>
      </c>
      <c r="H32" s="27">
        <v>78.36</v>
      </c>
      <c r="I32" s="34">
        <f>H32*0.6</f>
        <v>47.016</v>
      </c>
      <c r="J32" s="26">
        <f>G32+I32</f>
        <v>79.89868</v>
      </c>
      <c r="K32" s="35">
        <v>3</v>
      </c>
      <c r="L32" s="35"/>
    </row>
    <row r="33" s="1" customFormat="1" ht="20" customHeight="1" spans="1:12">
      <c r="A33" s="13">
        <v>31</v>
      </c>
      <c r="B33" s="14" t="s">
        <v>35</v>
      </c>
      <c r="C33" s="15" t="s">
        <v>36</v>
      </c>
      <c r="D33" s="14">
        <v>1</v>
      </c>
      <c r="E33" s="15" t="str">
        <f>"靳嘉禾"</f>
        <v>靳嘉禾</v>
      </c>
      <c r="F33" s="22">
        <v>82.2633</v>
      </c>
      <c r="G33" s="23">
        <f>SUM(F33*0.4)</f>
        <v>32.90532</v>
      </c>
      <c r="H33" s="24">
        <v>82.64</v>
      </c>
      <c r="I33" s="32">
        <f>H33*0.6</f>
        <v>49.584</v>
      </c>
      <c r="J33" s="23">
        <f>G33+I33</f>
        <v>82.48932</v>
      </c>
      <c r="K33" s="33">
        <v>1</v>
      </c>
      <c r="L33" s="33"/>
    </row>
    <row r="34" s="1" customFormat="1" ht="20" customHeight="1" spans="1:12">
      <c r="A34" s="13">
        <v>32</v>
      </c>
      <c r="B34" s="14" t="s">
        <v>35</v>
      </c>
      <c r="C34" s="15" t="s">
        <v>36</v>
      </c>
      <c r="D34" s="14">
        <v>1</v>
      </c>
      <c r="E34" s="15" t="s">
        <v>37</v>
      </c>
      <c r="F34" s="22">
        <v>85.2433</v>
      </c>
      <c r="G34" s="23">
        <f>SUM(F34*0.4)</f>
        <v>34.09732</v>
      </c>
      <c r="H34" s="24">
        <v>80.1</v>
      </c>
      <c r="I34" s="32">
        <f>H34*0.6</f>
        <v>48.06</v>
      </c>
      <c r="J34" s="23">
        <f>G34+I34</f>
        <v>82.15732</v>
      </c>
      <c r="K34" s="33">
        <v>2</v>
      </c>
      <c r="L34" s="33"/>
    </row>
    <row r="35" s="1" customFormat="1" ht="20" customHeight="1" spans="1:12">
      <c r="A35" s="13">
        <v>33</v>
      </c>
      <c r="B35" s="14" t="s">
        <v>35</v>
      </c>
      <c r="C35" s="15" t="s">
        <v>36</v>
      </c>
      <c r="D35" s="14">
        <v>1</v>
      </c>
      <c r="E35" s="15" t="str">
        <f>"肖宇翔"</f>
        <v>肖宇翔</v>
      </c>
      <c r="F35" s="22">
        <v>82.7233</v>
      </c>
      <c r="G35" s="23">
        <f>SUM(F35*0.4)</f>
        <v>33.08932</v>
      </c>
      <c r="H35" s="24"/>
      <c r="I35" s="32"/>
      <c r="J35" s="23">
        <f>G35+I35</f>
        <v>33.08932</v>
      </c>
      <c r="K35" s="33">
        <v>3</v>
      </c>
      <c r="L35" s="33" t="s">
        <v>15</v>
      </c>
    </row>
    <row r="36" s="2" customFormat="1" ht="20" customHeight="1" spans="1:12">
      <c r="A36" s="17">
        <v>34</v>
      </c>
      <c r="B36" s="18" t="s">
        <v>38</v>
      </c>
      <c r="C36" s="19" t="s">
        <v>36</v>
      </c>
      <c r="D36" s="18">
        <v>1</v>
      </c>
      <c r="E36" s="19" t="str">
        <f>"龙凤"</f>
        <v>龙凤</v>
      </c>
      <c r="F36" s="25">
        <v>84.6667</v>
      </c>
      <c r="G36" s="26">
        <f>SUM(F36*0.4)</f>
        <v>33.86668</v>
      </c>
      <c r="H36" s="27">
        <v>84.08</v>
      </c>
      <c r="I36" s="34">
        <f>H36*0.6</f>
        <v>50.448</v>
      </c>
      <c r="J36" s="26">
        <f>G36+I36</f>
        <v>84.31468</v>
      </c>
      <c r="K36" s="35">
        <v>1</v>
      </c>
      <c r="L36" s="35"/>
    </row>
    <row r="37" s="2" customFormat="1" ht="20" customHeight="1" spans="1:12">
      <c r="A37" s="17">
        <v>35</v>
      </c>
      <c r="B37" s="18" t="s">
        <v>38</v>
      </c>
      <c r="C37" s="19" t="s">
        <v>36</v>
      </c>
      <c r="D37" s="18">
        <v>1</v>
      </c>
      <c r="E37" s="19" t="str">
        <f>"李劲松"</f>
        <v>李劲松</v>
      </c>
      <c r="F37" s="25">
        <v>84.8933</v>
      </c>
      <c r="G37" s="26">
        <f>SUM(F37*0.4)</f>
        <v>33.95732</v>
      </c>
      <c r="H37" s="27">
        <v>80.64</v>
      </c>
      <c r="I37" s="34">
        <f>H37*0.6</f>
        <v>48.384</v>
      </c>
      <c r="J37" s="26">
        <f>G37+I37</f>
        <v>82.34132</v>
      </c>
      <c r="K37" s="35">
        <v>2</v>
      </c>
      <c r="L37" s="35"/>
    </row>
    <row r="38" s="2" customFormat="1" ht="20" customHeight="1" spans="1:12">
      <c r="A38" s="17">
        <v>36</v>
      </c>
      <c r="B38" s="18" t="s">
        <v>38</v>
      </c>
      <c r="C38" s="19" t="s">
        <v>36</v>
      </c>
      <c r="D38" s="18">
        <v>1</v>
      </c>
      <c r="E38" s="19" t="str">
        <f>"王浩"</f>
        <v>王浩</v>
      </c>
      <c r="F38" s="25">
        <v>83.7433</v>
      </c>
      <c r="G38" s="26">
        <f>SUM(F38*0.4)</f>
        <v>33.49732</v>
      </c>
      <c r="H38" s="27">
        <v>77.92</v>
      </c>
      <c r="I38" s="34">
        <f>H38*0.6</f>
        <v>46.752</v>
      </c>
      <c r="J38" s="26">
        <f>G38+I38</f>
        <v>80.24932</v>
      </c>
      <c r="K38" s="35">
        <v>3</v>
      </c>
      <c r="L38" s="35"/>
    </row>
    <row r="39" s="1" customFormat="1" ht="20" customHeight="1" spans="1:12">
      <c r="A39" s="13">
        <v>37</v>
      </c>
      <c r="B39" s="14" t="s">
        <v>39</v>
      </c>
      <c r="C39" s="15" t="s">
        <v>36</v>
      </c>
      <c r="D39" s="14">
        <v>1</v>
      </c>
      <c r="E39" s="15" t="str">
        <f>"金秉文"</f>
        <v>金秉文</v>
      </c>
      <c r="F39" s="22">
        <v>83.8833</v>
      </c>
      <c r="G39" s="23">
        <f>SUM(F39*0.4)</f>
        <v>33.55332</v>
      </c>
      <c r="H39" s="24">
        <v>79.36</v>
      </c>
      <c r="I39" s="32">
        <f>H39*0.6</f>
        <v>47.616</v>
      </c>
      <c r="J39" s="23">
        <f>G39+I39</f>
        <v>81.16932</v>
      </c>
      <c r="K39" s="33">
        <v>1</v>
      </c>
      <c r="L39" s="33"/>
    </row>
    <row r="40" s="1" customFormat="1" ht="20" customHeight="1" spans="1:12">
      <c r="A40" s="13">
        <v>38</v>
      </c>
      <c r="B40" s="14" t="s">
        <v>39</v>
      </c>
      <c r="C40" s="15" t="s">
        <v>36</v>
      </c>
      <c r="D40" s="14">
        <v>1</v>
      </c>
      <c r="E40" s="15" t="str">
        <f>"王俊锋"</f>
        <v>王俊锋</v>
      </c>
      <c r="F40" s="22">
        <v>84.6233</v>
      </c>
      <c r="G40" s="23">
        <f>SUM(F40*0.4)</f>
        <v>33.84932</v>
      </c>
      <c r="H40" s="24">
        <v>77.52</v>
      </c>
      <c r="I40" s="32">
        <f>H40*0.6</f>
        <v>46.512</v>
      </c>
      <c r="J40" s="23">
        <f>G40+I40</f>
        <v>80.36132</v>
      </c>
      <c r="K40" s="33">
        <v>2</v>
      </c>
      <c r="L40" s="33"/>
    </row>
    <row r="41" s="1" customFormat="1" ht="20" customHeight="1" spans="1:12">
      <c r="A41" s="13">
        <v>39</v>
      </c>
      <c r="B41" s="14" t="s">
        <v>39</v>
      </c>
      <c r="C41" s="15" t="s">
        <v>36</v>
      </c>
      <c r="D41" s="14">
        <v>1</v>
      </c>
      <c r="E41" s="15" t="str">
        <f>"郭建芹"</f>
        <v>郭建芹</v>
      </c>
      <c r="F41" s="22">
        <v>82.8867</v>
      </c>
      <c r="G41" s="23">
        <f>SUM(F41*0.4)</f>
        <v>33.15468</v>
      </c>
      <c r="H41" s="24">
        <v>78.12</v>
      </c>
      <c r="I41" s="32">
        <f>H41*0.6</f>
        <v>46.872</v>
      </c>
      <c r="J41" s="23">
        <f>G41+I41</f>
        <v>80.02668</v>
      </c>
      <c r="K41" s="33">
        <v>3</v>
      </c>
      <c r="L41" s="33"/>
    </row>
    <row r="42" s="2" customFormat="1" ht="20" customHeight="1" spans="1:12">
      <c r="A42" s="17">
        <v>40</v>
      </c>
      <c r="B42" s="18" t="s">
        <v>23</v>
      </c>
      <c r="C42" s="19" t="s">
        <v>40</v>
      </c>
      <c r="D42" s="18">
        <v>1</v>
      </c>
      <c r="E42" s="19" t="s">
        <v>41</v>
      </c>
      <c r="F42" s="25" t="s">
        <v>42</v>
      </c>
      <c r="G42" s="26"/>
      <c r="H42" s="27">
        <v>79.68</v>
      </c>
      <c r="I42" s="36">
        <v>79.68</v>
      </c>
      <c r="J42" s="26">
        <f>G42+I42</f>
        <v>79.68</v>
      </c>
      <c r="K42" s="35">
        <v>1</v>
      </c>
      <c r="L42" s="35"/>
    </row>
    <row r="43" s="2" customFormat="1" ht="20" customHeight="1" spans="1:12">
      <c r="A43" s="17">
        <v>41</v>
      </c>
      <c r="B43" s="18" t="s">
        <v>23</v>
      </c>
      <c r="C43" s="19" t="s">
        <v>40</v>
      </c>
      <c r="D43" s="18">
        <v>1</v>
      </c>
      <c r="E43" s="19" t="s">
        <v>43</v>
      </c>
      <c r="F43" s="25" t="s">
        <v>42</v>
      </c>
      <c r="G43" s="26"/>
      <c r="H43" s="27">
        <v>77.82</v>
      </c>
      <c r="I43" s="36">
        <v>77.82</v>
      </c>
      <c r="J43" s="26">
        <f>G43+I43</f>
        <v>77.82</v>
      </c>
      <c r="K43" s="35">
        <v>2</v>
      </c>
      <c r="L43" s="35"/>
    </row>
    <row r="44" s="2" customFormat="1" ht="20" customHeight="1" spans="1:12">
      <c r="A44" s="17">
        <v>42</v>
      </c>
      <c r="B44" s="18" t="s">
        <v>23</v>
      </c>
      <c r="C44" s="19" t="s">
        <v>40</v>
      </c>
      <c r="D44" s="18">
        <v>1</v>
      </c>
      <c r="E44" s="19" t="s">
        <v>44</v>
      </c>
      <c r="F44" s="25" t="s">
        <v>42</v>
      </c>
      <c r="G44" s="26"/>
      <c r="H44" s="27">
        <v>77.68</v>
      </c>
      <c r="I44" s="36">
        <v>77.68</v>
      </c>
      <c r="J44" s="26">
        <f>G44+I44</f>
        <v>77.68</v>
      </c>
      <c r="K44" s="35">
        <v>3</v>
      </c>
      <c r="L44" s="35"/>
    </row>
    <row r="45" s="1" customFormat="1" ht="20" customHeight="1" spans="1:12">
      <c r="A45" s="13">
        <v>43</v>
      </c>
      <c r="B45" s="14" t="s">
        <v>45</v>
      </c>
      <c r="C45" s="15" t="s">
        <v>46</v>
      </c>
      <c r="D45" s="14">
        <v>1</v>
      </c>
      <c r="E45" s="15" t="str">
        <f>"卢凯琳"</f>
        <v>卢凯琳</v>
      </c>
      <c r="F45" s="22">
        <v>77.89</v>
      </c>
      <c r="G45" s="23">
        <f t="shared" ref="G45:G63" si="3">SUM(F45*0.4)</f>
        <v>31.156</v>
      </c>
      <c r="H45" s="24">
        <v>82.94</v>
      </c>
      <c r="I45" s="32">
        <f t="shared" ref="I45:I63" si="4">H45*0.6</f>
        <v>49.764</v>
      </c>
      <c r="J45" s="23">
        <f t="shared" ref="J45:J63" si="5">G45+I45</f>
        <v>80.92</v>
      </c>
      <c r="K45" s="33">
        <v>1</v>
      </c>
      <c r="L45" s="33"/>
    </row>
    <row r="46" s="1" customFormat="1" ht="20" customHeight="1" spans="1:12">
      <c r="A46" s="13">
        <v>44</v>
      </c>
      <c r="B46" s="14" t="s">
        <v>45</v>
      </c>
      <c r="C46" s="15" t="s">
        <v>46</v>
      </c>
      <c r="D46" s="14">
        <v>1</v>
      </c>
      <c r="E46" s="15" t="str">
        <f>"张璐"</f>
        <v>张璐</v>
      </c>
      <c r="F46" s="22">
        <v>77.5633</v>
      </c>
      <c r="G46" s="23">
        <f t="shared" si="3"/>
        <v>31.02532</v>
      </c>
      <c r="H46" s="24">
        <v>81.96</v>
      </c>
      <c r="I46" s="32">
        <f t="shared" si="4"/>
        <v>49.176</v>
      </c>
      <c r="J46" s="23">
        <f t="shared" si="5"/>
        <v>80.20132</v>
      </c>
      <c r="K46" s="33">
        <v>2</v>
      </c>
      <c r="L46" s="33"/>
    </row>
    <row r="47" s="1" customFormat="1" ht="20" customHeight="1" spans="1:12">
      <c r="A47" s="13">
        <v>45</v>
      </c>
      <c r="B47" s="14" t="s">
        <v>45</v>
      </c>
      <c r="C47" s="15" t="s">
        <v>46</v>
      </c>
      <c r="D47" s="14">
        <v>1</v>
      </c>
      <c r="E47" s="15" t="str">
        <f>"柳玲"</f>
        <v>柳玲</v>
      </c>
      <c r="F47" s="22">
        <v>77.23</v>
      </c>
      <c r="G47" s="23">
        <f t="shared" si="3"/>
        <v>30.892</v>
      </c>
      <c r="H47" s="24">
        <v>75.76</v>
      </c>
      <c r="I47" s="32">
        <f t="shared" si="4"/>
        <v>45.456</v>
      </c>
      <c r="J47" s="23">
        <f t="shared" si="5"/>
        <v>76.348</v>
      </c>
      <c r="K47" s="33">
        <v>3</v>
      </c>
      <c r="L47" s="33"/>
    </row>
    <row r="48" s="2" customFormat="1" ht="20" customHeight="1" spans="1:12">
      <c r="A48" s="17">
        <v>46</v>
      </c>
      <c r="B48" s="18" t="s">
        <v>45</v>
      </c>
      <c r="C48" s="19" t="s">
        <v>47</v>
      </c>
      <c r="D48" s="18">
        <v>1</v>
      </c>
      <c r="E48" s="19" t="str">
        <f>"邓斌"</f>
        <v>邓斌</v>
      </c>
      <c r="F48" s="25">
        <v>67.1533</v>
      </c>
      <c r="G48" s="26">
        <f t="shared" si="3"/>
        <v>26.86132</v>
      </c>
      <c r="H48" s="27">
        <v>85.04</v>
      </c>
      <c r="I48" s="34">
        <f t="shared" si="4"/>
        <v>51.024</v>
      </c>
      <c r="J48" s="26">
        <f t="shared" si="5"/>
        <v>77.88532</v>
      </c>
      <c r="K48" s="35">
        <v>1</v>
      </c>
      <c r="L48" s="35"/>
    </row>
    <row r="49" s="2" customFormat="1" ht="20" customHeight="1" spans="1:12">
      <c r="A49" s="17">
        <v>47</v>
      </c>
      <c r="B49" s="18" t="s">
        <v>45</v>
      </c>
      <c r="C49" s="19" t="s">
        <v>47</v>
      </c>
      <c r="D49" s="18">
        <v>1</v>
      </c>
      <c r="E49" s="19" t="str">
        <f>"饶冬冬"</f>
        <v>饶冬冬</v>
      </c>
      <c r="F49" s="25">
        <v>70.0267</v>
      </c>
      <c r="G49" s="26">
        <f t="shared" si="3"/>
        <v>28.01068</v>
      </c>
      <c r="H49" s="27">
        <v>81</v>
      </c>
      <c r="I49" s="34">
        <f t="shared" si="4"/>
        <v>48.6</v>
      </c>
      <c r="J49" s="26">
        <f t="shared" si="5"/>
        <v>76.61068</v>
      </c>
      <c r="K49" s="35">
        <v>2</v>
      </c>
      <c r="L49" s="35"/>
    </row>
    <row r="50" s="2" customFormat="1" ht="20" customHeight="1" spans="1:12">
      <c r="A50" s="17">
        <v>48</v>
      </c>
      <c r="B50" s="18" t="s">
        <v>45</v>
      </c>
      <c r="C50" s="19" t="s">
        <v>47</v>
      </c>
      <c r="D50" s="18">
        <v>1</v>
      </c>
      <c r="E50" s="19" t="str">
        <f>"程云河"</f>
        <v>程云河</v>
      </c>
      <c r="F50" s="25">
        <v>71.3</v>
      </c>
      <c r="G50" s="26">
        <f t="shared" si="3"/>
        <v>28.52</v>
      </c>
      <c r="H50" s="27">
        <v>76.96</v>
      </c>
      <c r="I50" s="34">
        <f t="shared" si="4"/>
        <v>46.176</v>
      </c>
      <c r="J50" s="26">
        <f t="shared" si="5"/>
        <v>74.696</v>
      </c>
      <c r="K50" s="35">
        <v>3</v>
      </c>
      <c r="L50" s="35"/>
    </row>
    <row r="51" s="1" customFormat="1" ht="20" customHeight="1" spans="1:12">
      <c r="A51" s="13">
        <v>49</v>
      </c>
      <c r="B51" s="14" t="s">
        <v>45</v>
      </c>
      <c r="C51" s="15" t="s">
        <v>48</v>
      </c>
      <c r="D51" s="14">
        <v>1</v>
      </c>
      <c r="E51" s="15" t="str">
        <f>"卢天琳"</f>
        <v>卢天琳</v>
      </c>
      <c r="F51" s="22">
        <v>73.93</v>
      </c>
      <c r="G51" s="23">
        <f t="shared" si="3"/>
        <v>29.572</v>
      </c>
      <c r="H51" s="24">
        <v>81.04</v>
      </c>
      <c r="I51" s="32">
        <f t="shared" si="4"/>
        <v>48.624</v>
      </c>
      <c r="J51" s="23">
        <f t="shared" si="5"/>
        <v>78.196</v>
      </c>
      <c r="K51" s="33">
        <v>1</v>
      </c>
      <c r="L51" s="33"/>
    </row>
    <row r="52" s="1" customFormat="1" ht="20" customHeight="1" spans="1:12">
      <c r="A52" s="13">
        <v>50</v>
      </c>
      <c r="B52" s="14" t="s">
        <v>45</v>
      </c>
      <c r="C52" s="15" t="s">
        <v>48</v>
      </c>
      <c r="D52" s="14">
        <v>1</v>
      </c>
      <c r="E52" s="15" t="str">
        <f>"常琼"</f>
        <v>常琼</v>
      </c>
      <c r="F52" s="22">
        <v>64.7267</v>
      </c>
      <c r="G52" s="23">
        <f t="shared" si="3"/>
        <v>25.89068</v>
      </c>
      <c r="H52" s="24">
        <v>81.08</v>
      </c>
      <c r="I52" s="32">
        <f t="shared" si="4"/>
        <v>48.648</v>
      </c>
      <c r="J52" s="23">
        <f t="shared" si="5"/>
        <v>74.53868</v>
      </c>
      <c r="K52" s="33">
        <v>2</v>
      </c>
      <c r="L52" s="33"/>
    </row>
    <row r="53" s="2" customFormat="1" ht="20" customHeight="1" spans="1:12">
      <c r="A53" s="17">
        <v>51</v>
      </c>
      <c r="B53" s="18" t="s">
        <v>45</v>
      </c>
      <c r="C53" s="19" t="s">
        <v>49</v>
      </c>
      <c r="D53" s="18">
        <v>1</v>
      </c>
      <c r="E53" s="19" t="str">
        <f>"秦乐"</f>
        <v>秦乐</v>
      </c>
      <c r="F53" s="25">
        <v>75.7267</v>
      </c>
      <c r="G53" s="26">
        <f t="shared" si="3"/>
        <v>30.29068</v>
      </c>
      <c r="H53" s="27">
        <v>79.82</v>
      </c>
      <c r="I53" s="34">
        <f t="shared" si="4"/>
        <v>47.892</v>
      </c>
      <c r="J53" s="26">
        <f t="shared" si="5"/>
        <v>78.18268</v>
      </c>
      <c r="K53" s="35">
        <v>1</v>
      </c>
      <c r="L53" s="35"/>
    </row>
    <row r="54" s="2" customFormat="1" ht="20" customHeight="1" spans="1:12">
      <c r="A54" s="17">
        <v>52</v>
      </c>
      <c r="B54" s="18" t="s">
        <v>45</v>
      </c>
      <c r="C54" s="19" t="s">
        <v>49</v>
      </c>
      <c r="D54" s="18">
        <v>1</v>
      </c>
      <c r="E54" s="19" t="str">
        <f>"熊梦园"</f>
        <v>熊梦园</v>
      </c>
      <c r="F54" s="25">
        <v>70.88</v>
      </c>
      <c r="G54" s="26">
        <f t="shared" si="3"/>
        <v>28.352</v>
      </c>
      <c r="H54" s="27">
        <v>81.72</v>
      </c>
      <c r="I54" s="34">
        <f t="shared" si="4"/>
        <v>49.032</v>
      </c>
      <c r="J54" s="26">
        <f t="shared" si="5"/>
        <v>77.384</v>
      </c>
      <c r="K54" s="35">
        <v>2</v>
      </c>
      <c r="L54" s="35"/>
    </row>
    <row r="55" s="1" customFormat="1" ht="20" customHeight="1" spans="1:12">
      <c r="A55" s="13">
        <v>53</v>
      </c>
      <c r="B55" s="14" t="s">
        <v>45</v>
      </c>
      <c r="C55" s="15" t="s">
        <v>50</v>
      </c>
      <c r="D55" s="14">
        <v>1</v>
      </c>
      <c r="E55" s="15" t="str">
        <f>"郑青雯"</f>
        <v>郑青雯</v>
      </c>
      <c r="F55" s="22">
        <v>73.4867</v>
      </c>
      <c r="G55" s="23">
        <f t="shared" si="3"/>
        <v>29.39468</v>
      </c>
      <c r="H55" s="24">
        <v>81.08</v>
      </c>
      <c r="I55" s="32">
        <f t="shared" si="4"/>
        <v>48.648</v>
      </c>
      <c r="J55" s="23">
        <f t="shared" si="5"/>
        <v>78.04268</v>
      </c>
      <c r="K55" s="33">
        <v>1</v>
      </c>
      <c r="L55" s="33"/>
    </row>
    <row r="56" s="1" customFormat="1" ht="20" customHeight="1" spans="1:12">
      <c r="A56" s="13">
        <v>54</v>
      </c>
      <c r="B56" s="14" t="s">
        <v>45</v>
      </c>
      <c r="C56" s="15" t="s">
        <v>50</v>
      </c>
      <c r="D56" s="14">
        <v>1</v>
      </c>
      <c r="E56" s="15" t="str">
        <f>"徐春梅"</f>
        <v>徐春梅</v>
      </c>
      <c r="F56" s="22">
        <v>66.99</v>
      </c>
      <c r="G56" s="23">
        <f t="shared" si="3"/>
        <v>26.796</v>
      </c>
      <c r="H56" s="24">
        <v>83.56</v>
      </c>
      <c r="I56" s="32">
        <f t="shared" si="4"/>
        <v>50.136</v>
      </c>
      <c r="J56" s="23">
        <f t="shared" si="5"/>
        <v>76.932</v>
      </c>
      <c r="K56" s="33">
        <v>2</v>
      </c>
      <c r="L56" s="33"/>
    </row>
    <row r="57" s="1" customFormat="1" ht="20" customHeight="1" spans="1:12">
      <c r="A57" s="13">
        <v>55</v>
      </c>
      <c r="B57" s="14" t="s">
        <v>45</v>
      </c>
      <c r="C57" s="15" t="s">
        <v>50</v>
      </c>
      <c r="D57" s="14">
        <v>1</v>
      </c>
      <c r="E57" s="15" t="str">
        <f>"张艳玲"</f>
        <v>张艳玲</v>
      </c>
      <c r="F57" s="22">
        <v>74.5733</v>
      </c>
      <c r="G57" s="23">
        <f t="shared" si="3"/>
        <v>29.82932</v>
      </c>
      <c r="H57" s="24">
        <v>72.62</v>
      </c>
      <c r="I57" s="32">
        <f t="shared" si="4"/>
        <v>43.572</v>
      </c>
      <c r="J57" s="23">
        <f t="shared" si="5"/>
        <v>73.40132</v>
      </c>
      <c r="K57" s="33">
        <v>3</v>
      </c>
      <c r="L57" s="33"/>
    </row>
    <row r="58" s="2" customFormat="1" ht="20" customHeight="1" spans="1:12">
      <c r="A58" s="17">
        <v>56</v>
      </c>
      <c r="B58" s="18" t="s">
        <v>51</v>
      </c>
      <c r="C58" s="19" t="s">
        <v>52</v>
      </c>
      <c r="D58" s="18">
        <v>1</v>
      </c>
      <c r="E58" s="19" t="str">
        <f>"赵瑞雪"</f>
        <v>赵瑞雪</v>
      </c>
      <c r="F58" s="25">
        <v>79.1333</v>
      </c>
      <c r="G58" s="26">
        <f t="shared" si="3"/>
        <v>31.65332</v>
      </c>
      <c r="H58" s="27">
        <v>84.94</v>
      </c>
      <c r="I58" s="34">
        <f t="shared" si="4"/>
        <v>50.964</v>
      </c>
      <c r="J58" s="26">
        <f t="shared" si="5"/>
        <v>82.61732</v>
      </c>
      <c r="K58" s="35">
        <v>1</v>
      </c>
      <c r="L58" s="35"/>
    </row>
    <row r="59" s="2" customFormat="1" ht="20" customHeight="1" spans="1:12">
      <c r="A59" s="17">
        <v>57</v>
      </c>
      <c r="B59" s="18" t="s">
        <v>51</v>
      </c>
      <c r="C59" s="19" t="s">
        <v>52</v>
      </c>
      <c r="D59" s="18">
        <v>1</v>
      </c>
      <c r="E59" s="19" t="str">
        <f>"彭欣雨"</f>
        <v>彭欣雨</v>
      </c>
      <c r="F59" s="25">
        <v>73.7533</v>
      </c>
      <c r="G59" s="26">
        <f t="shared" si="3"/>
        <v>29.50132</v>
      </c>
      <c r="H59" s="27">
        <v>76.24</v>
      </c>
      <c r="I59" s="34">
        <f t="shared" si="4"/>
        <v>45.744</v>
      </c>
      <c r="J59" s="26">
        <f t="shared" si="5"/>
        <v>75.24532</v>
      </c>
      <c r="K59" s="35">
        <v>2</v>
      </c>
      <c r="L59" s="35"/>
    </row>
    <row r="60" s="2" customFormat="1" ht="20" customHeight="1" spans="1:12">
      <c r="A60" s="17">
        <v>58</v>
      </c>
      <c r="B60" s="18" t="s">
        <v>51</v>
      </c>
      <c r="C60" s="19" t="s">
        <v>52</v>
      </c>
      <c r="D60" s="18">
        <v>1</v>
      </c>
      <c r="E60" s="19" t="str">
        <f>"欧利秋"</f>
        <v>欧利秋</v>
      </c>
      <c r="F60" s="25">
        <v>70.3667</v>
      </c>
      <c r="G60" s="26">
        <f t="shared" si="3"/>
        <v>28.14668</v>
      </c>
      <c r="H60" s="27">
        <v>77.54</v>
      </c>
      <c r="I60" s="34">
        <f t="shared" si="4"/>
        <v>46.524</v>
      </c>
      <c r="J60" s="26">
        <f t="shared" si="5"/>
        <v>74.67068</v>
      </c>
      <c r="K60" s="35">
        <v>3</v>
      </c>
      <c r="L60" s="35"/>
    </row>
    <row r="61" s="1" customFormat="1" ht="20" customHeight="1" spans="1:12">
      <c r="A61" s="13">
        <v>59</v>
      </c>
      <c r="B61" s="14" t="s">
        <v>51</v>
      </c>
      <c r="C61" s="15" t="s">
        <v>53</v>
      </c>
      <c r="D61" s="14">
        <v>1</v>
      </c>
      <c r="E61" s="15" t="str">
        <f>"陈杰"</f>
        <v>陈杰</v>
      </c>
      <c r="F61" s="22">
        <v>74.38</v>
      </c>
      <c r="G61" s="23">
        <f t="shared" si="3"/>
        <v>29.752</v>
      </c>
      <c r="H61" s="24">
        <v>85.7</v>
      </c>
      <c r="I61" s="32">
        <f t="shared" si="4"/>
        <v>51.42</v>
      </c>
      <c r="J61" s="23">
        <f t="shared" si="5"/>
        <v>81.172</v>
      </c>
      <c r="K61" s="33">
        <v>1</v>
      </c>
      <c r="L61" s="33"/>
    </row>
    <row r="62" s="1" customFormat="1" ht="20" customHeight="1" spans="1:12">
      <c r="A62" s="13">
        <v>60</v>
      </c>
      <c r="B62" s="14" t="s">
        <v>51</v>
      </c>
      <c r="C62" s="15" t="s">
        <v>53</v>
      </c>
      <c r="D62" s="14">
        <v>1</v>
      </c>
      <c r="E62" s="15" t="str">
        <f>"陈诺"</f>
        <v>陈诺</v>
      </c>
      <c r="F62" s="22">
        <v>72.96</v>
      </c>
      <c r="G62" s="23">
        <f t="shared" si="3"/>
        <v>29.184</v>
      </c>
      <c r="H62" s="24">
        <v>86.3</v>
      </c>
      <c r="I62" s="32">
        <f t="shared" si="4"/>
        <v>51.78</v>
      </c>
      <c r="J62" s="23">
        <f t="shared" si="5"/>
        <v>80.964</v>
      </c>
      <c r="K62" s="33">
        <v>2</v>
      </c>
      <c r="L62" s="33"/>
    </row>
    <row r="63" s="1" customFormat="1" ht="20" customHeight="1" spans="1:12">
      <c r="A63" s="13">
        <v>61</v>
      </c>
      <c r="B63" s="14" t="s">
        <v>51</v>
      </c>
      <c r="C63" s="15" t="s">
        <v>53</v>
      </c>
      <c r="D63" s="14">
        <v>1</v>
      </c>
      <c r="E63" s="15" t="str">
        <f>"龙宇"</f>
        <v>龙宇</v>
      </c>
      <c r="F63" s="22">
        <v>76.5667</v>
      </c>
      <c r="G63" s="23">
        <f t="shared" si="3"/>
        <v>30.62668</v>
      </c>
      <c r="H63" s="24">
        <v>81.68</v>
      </c>
      <c r="I63" s="32">
        <f t="shared" si="4"/>
        <v>49.008</v>
      </c>
      <c r="J63" s="23">
        <f t="shared" si="5"/>
        <v>79.63468</v>
      </c>
      <c r="K63" s="33">
        <v>3</v>
      </c>
      <c r="L63" s="33"/>
    </row>
  </sheetData>
  <autoFilter ref="A2:L2">
    <extLst/>
  </autoFilter>
  <mergeCells count="1">
    <mergeCell ref="A1:L1"/>
  </mergeCells>
  <pageMargins left="0.708333333333333" right="0.708333333333333" top="0.747916666666667" bottom="0.747916666666667" header="0.314583333333333" footer="0.314583333333333"/>
  <pageSetup paperSize="9" scale="83" fitToHeight="0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2006-09-15T19:21:00Z</dcterms:created>
  <dcterms:modified xsi:type="dcterms:W3CDTF">2025-12-27T18:05:00Z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91526F17BFF249EC8C96C8B7221632CA_12</vt:lpwstr>
  </property>
  <property fmtid="{D5CDD505-2E9C-101B-9397-08002B2CF9AE}" pid="3" name="KSOProductBuildVer">
    <vt:lpwstr>2052-12.8.2.1112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